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" activeTab="4"/>
  </bookViews>
  <sheets>
    <sheet name="职工2024年12月结算" sheetId="8" r:id="rId1"/>
    <sheet name="经开医院职工透析" sheetId="9" r:id="rId2"/>
    <sheet name="2024职工家庭医生签约" sheetId="10" r:id="rId3"/>
    <sheet name="202411职工异地门诊" sheetId="11" r:id="rId4"/>
    <sheet name="202411职工异地住院" sheetId="12" r:id="rId5"/>
  </sheets>
  <calcPr calcId="144525"/>
</workbook>
</file>

<file path=xl/sharedStrings.xml><?xml version="1.0" encoding="utf-8"?>
<sst xmlns="http://schemas.openxmlformats.org/spreadsheetml/2006/main" count="432" uniqueCount="121">
  <si>
    <t>昆明市医疗保险定点医疗机构费用结算、内审、拨付明细表</t>
  </si>
  <si>
    <t>经办机构：经开区</t>
  </si>
  <si>
    <t/>
  </si>
  <si>
    <t>拨款时间：2025年1月23日</t>
  </si>
  <si>
    <t>单位：元</t>
  </si>
  <si>
    <t>序号</t>
  </si>
  <si>
    <t>机构编码</t>
  </si>
  <si>
    <t>机构名称</t>
  </si>
  <si>
    <t>险种</t>
  </si>
  <si>
    <t>结算类别</t>
  </si>
  <si>
    <t>结算方式</t>
  </si>
  <si>
    <t>费款所属期</t>
  </si>
  <si>
    <t>医保实际支付费用</t>
  </si>
  <si>
    <t>实付合计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</si>
  <si>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</si>
  <si>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</si>
  <si>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</si>
  <si>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</si>
  <si>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</si>
  <si>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</si>
  <si>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</si>
  <si>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</si>
  <si>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</si>
  <si>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</si>
  <si>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H53011102337</t>
  </si>
  <si>
    <t>一心堂健康管理有限公司经开贵昆路诊所</t>
  </si>
  <si>
    <t>职工</t>
  </si>
  <si>
    <t>门诊</t>
  </si>
  <si>
    <t>月结算</t>
  </si>
  <si>
    <t>202412</t>
  </si>
  <si>
    <t>H53011400045</t>
  </si>
  <si>
    <t>昆明市呈贡区洛羊街道社区卫生服务中心</t>
  </si>
  <si>
    <t>住院</t>
  </si>
  <si>
    <t>月预结算</t>
  </si>
  <si>
    <t>H53011400046</t>
  </si>
  <si>
    <t>昆明经济技术开发区八公里社区卫生服务站</t>
  </si>
  <si>
    <t>H53011400068</t>
  </si>
  <si>
    <t>官渡区阿拉街道社区卫生服务中心（昆明市官渡区中医骨科医院）</t>
  </si>
  <si>
    <t>H53011400071</t>
  </si>
  <si>
    <t>云南省荣军优抚医院</t>
  </si>
  <si>
    <t>H53011400195</t>
  </si>
  <si>
    <t>昆明市经开人民医院</t>
  </si>
  <si>
    <t>生育住院</t>
  </si>
  <si>
    <t>生育门诊</t>
  </si>
  <si>
    <t>H53011400228</t>
  </si>
  <si>
    <t>昆明航天医院</t>
  </si>
  <si>
    <t>H53011400371</t>
  </si>
  <si>
    <t>昆明经济技术开发区昌宏社区新广丰社区卫生服务站</t>
  </si>
  <si>
    <t>H53011400373</t>
  </si>
  <si>
    <t>昆明经济技术开发区小麻苴社区卫生服务站</t>
  </si>
  <si>
    <t>H53011400402</t>
  </si>
  <si>
    <t>昆明经济技术开发区出口加工区社区卫生服务中心</t>
  </si>
  <si>
    <t>H53011401616</t>
  </si>
  <si>
    <t>昆明经济技术开发区普照社区卫生服务站</t>
  </si>
  <si>
    <t>H53015401681</t>
  </si>
  <si>
    <t>昆明市经开人民医院第一门诊部</t>
  </si>
  <si>
    <t>H53015401683</t>
  </si>
  <si>
    <t>昆明经济技术开发区航天社区卫生服务站</t>
  </si>
  <si>
    <t>H53015402121</t>
  </si>
  <si>
    <t>昆明耀兴华瑞医院</t>
  </si>
  <si>
    <t>H53015402221</t>
  </si>
  <si>
    <t>经开仁兴诊所</t>
  </si>
  <si>
    <t>H53015402410</t>
  </si>
  <si>
    <t>经开高文兴诊所</t>
  </si>
  <si>
    <t>H53015402730</t>
  </si>
  <si>
    <t>经开香颂口腔诊所</t>
  </si>
  <si>
    <t>H53015402768</t>
  </si>
  <si>
    <t>昆明经济技术开发区建工新城社区卫生服务中心</t>
  </si>
  <si>
    <t>H53015402788</t>
  </si>
  <si>
    <t>昆明经济技术开发区春漫时光社区卫生服务站</t>
  </si>
  <si>
    <t>小计</t>
  </si>
  <si>
    <t>H53011401031</t>
  </si>
  <si>
    <t>昆明经开区倪家营村卫生室</t>
  </si>
  <si>
    <t>H53011401032</t>
  </si>
  <si>
    <t>昆明市经开区洛羊街道水海子居委会卫生所</t>
  </si>
  <si>
    <t>H53011401033</t>
  </si>
  <si>
    <t>昆明市经开区黄土坡居委会卫生所</t>
  </si>
  <si>
    <t>H53011401037</t>
  </si>
  <si>
    <t>昆明市经开区张溪营保健门诊</t>
  </si>
  <si>
    <t>H53011401038</t>
  </si>
  <si>
    <t>大冲社区东冲顶卫生室</t>
  </si>
  <si>
    <t>H53011401040</t>
  </si>
  <si>
    <t>昆明经开区张溪营防疫门诊</t>
  </si>
  <si>
    <t>H53011401041</t>
  </si>
  <si>
    <t>昆明经开区小新册卫生所</t>
  </si>
  <si>
    <t>H53011401042</t>
  </si>
  <si>
    <t>昆明经开区大新册居委会村卫生室</t>
  </si>
  <si>
    <t>合计(35家)</t>
  </si>
  <si>
    <t>年终清算</t>
  </si>
  <si>
    <t>合计(1家)</t>
  </si>
  <si>
    <t>昆明市城镇职工医保定点医药机构异地就医费用结算明细表</t>
  </si>
  <si>
    <t>拨款时间：2025年1月20日</t>
  </si>
  <si>
    <t>医疗机构编号</t>
  </si>
  <si>
    <t>医疗机构名称</t>
  </si>
  <si>
    <t>数据期别</t>
  </si>
  <si>
    <t>险种类别</t>
  </si>
  <si>
    <t>基本医疗保险</t>
  </si>
  <si>
    <t>大病补充医疗保险</t>
  </si>
  <si>
    <t>医疗照顾专项补助</t>
  </si>
  <si>
    <t>其他补助</t>
  </si>
  <si>
    <t>审核扣款</t>
  </si>
  <si>
    <t>建档立卡医疗救助</t>
  </si>
  <si>
    <t>合计</t>
  </si>
  <si>
    <t>统筹基金</t>
  </si>
  <si>
    <t>1</t>
  </si>
  <si>
    <t>2024</t>
  </si>
  <si>
    <t>城镇职工</t>
  </si>
  <si>
    <t>家庭医生签约</t>
  </si>
  <si>
    <t>2</t>
  </si>
  <si>
    <t>八公里社区卫生服务中心</t>
  </si>
  <si>
    <t>3</t>
  </si>
  <si>
    <t>4</t>
  </si>
  <si>
    <t>5</t>
  </si>
  <si>
    <t>202411</t>
  </si>
  <si>
    <t>6</t>
  </si>
  <si>
    <t>7</t>
  </si>
  <si>
    <t>H53015402393</t>
  </si>
  <si>
    <t>云南东骏常青树医疗服务有限公司五华高教巷诊所</t>
  </si>
  <si>
    <t>8</t>
  </si>
  <si>
    <t>9</t>
  </si>
  <si>
    <t>10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</si>
</sst>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yyyy/mm/dd\ hh:mm:ss"/>
    <numFmt numFmtId="179" formatCode="yyyy\.mm\.dd\ hh:mm:ss"/>
  </numFmts>
  <fonts count="39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rgb="FF333333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rgb="FF333333"/>
      <name val="宋体"/>
      <charset val="134"/>
    </font>
    <font>
      <b/>
      <sz val="11"/>
      <color indexed="8"/>
      <name val="宋体"/>
      <charset val="134"/>
      <scheme val="minor"/>
    </font>
    <font>
      <b/>
      <sz val="16"/>
      <color rgb="FF333333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微软雅黑"/>
      <charset val="134"/>
    </font>
    <font>
      <b/>
      <sz val="9"/>
      <color rgb="FF000000"/>
      <name val="仿宋"/>
      <charset val="134"/>
    </font>
    <font>
      <b/>
      <sz val="10"/>
      <color rgb="FF000000"/>
      <name val="仿宋"/>
      <charset val="134"/>
    </font>
    <font>
      <b/>
      <sz val="9"/>
      <color rgb="FF333333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7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3" fillId="13" borderId="6" applyNumberFormat="0" applyAlignment="0" applyProtection="0">
      <alignment vertical="center"/>
    </xf>
    <xf numFmtId="0" fontId="34" fillId="14" borderId="11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5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shrinkToFit="1"/>
    </xf>
    <xf numFmtId="177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178" fontId="1" fillId="0" borderId="0" xfId="0" applyNumberFormat="1" applyFont="1" applyFill="1" applyBorder="1" applyAlignment="1"/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vertical="center"/>
    </xf>
    <xf numFmtId="0" fontId="12" fillId="0" borderId="0" xfId="0" applyFont="1">
      <alignment vertical="center"/>
    </xf>
    <xf numFmtId="0" fontId="13" fillId="2" borderId="0" xfId="0" applyFont="1" applyFill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right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2" fontId="18" fillId="2" borderId="5" xfId="0" applyNumberFormat="1" applyFont="1" applyFill="1" applyBorder="1" applyAlignment="1">
      <alignment horizontal="center" vertical="center" wrapText="1"/>
    </xf>
    <xf numFmtId="179" fontId="16" fillId="3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workbookViewId="0">
      <selection activeCell="E14" sqref="E14"/>
    </sheetView>
  </sheetViews>
  <sheetFormatPr defaultColWidth="9" defaultRowHeight="13.5"/>
  <cols>
    <col min="1" max="1" width="5.125" style="40" customWidth="1"/>
    <col min="2" max="2" width="10.9833333333333" style="40" customWidth="1"/>
    <col min="3" max="3" width="12.2" style="40" customWidth="1"/>
    <col min="4" max="4" width="5.125" style="40" customWidth="1"/>
    <col min="5" max="6" width="7.44166666666667" style="40" customWidth="1"/>
    <col min="7" max="7" width="7.56666666666667" style="40" customWidth="1"/>
    <col min="8" max="14" width="9.75833333333333" style="40" customWidth="1"/>
    <col min="15" max="16" width="8.94166666666667" style="40" customWidth="1"/>
    <col min="17" max="17" width="8" style="40" hidden="1"/>
    <col min="18" max="18" width="10.575" style="40" customWidth="1"/>
  </cols>
  <sheetData>
    <row r="1" customFormat="1" ht="38.25" customHeight="1" spans="1:18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customFormat="1" ht="15" customHeight="1" spans="1:18">
      <c r="A2" s="42" t="s">
        <v>1</v>
      </c>
      <c r="B2" s="42"/>
      <c r="C2" s="42"/>
      <c r="D2" s="42"/>
      <c r="E2" s="42"/>
      <c r="F2" s="43" t="s">
        <v>2</v>
      </c>
      <c r="G2" s="44"/>
      <c r="H2" s="45" t="s">
        <v>3</v>
      </c>
      <c r="I2" s="45"/>
      <c r="J2" s="45"/>
      <c r="K2" s="45" t="s">
        <v>2</v>
      </c>
      <c r="L2" s="44"/>
      <c r="M2" s="49"/>
      <c r="N2" s="49"/>
      <c r="O2" s="49"/>
      <c r="P2" s="45" t="s">
        <v>2</v>
      </c>
      <c r="Q2" s="45" t="s">
        <v>2</v>
      </c>
      <c r="R2" s="44" t="s">
        <v>4</v>
      </c>
    </row>
    <row r="3" customFormat="1" ht="15" customHeight="1" spans="1:18">
      <c r="A3" s="46" t="s">
        <v>5</v>
      </c>
      <c r="B3" s="46" t="s">
        <v>6</v>
      </c>
      <c r="C3" s="46" t="s">
        <v>7</v>
      </c>
      <c r="D3" s="46" t="s">
        <v>8</v>
      </c>
      <c r="E3" s="46" t="s">
        <v>9</v>
      </c>
      <c r="F3" s="46" t="s">
        <v>10</v>
      </c>
      <c r="G3" s="46" t="s">
        <v>11</v>
      </c>
      <c r="H3" s="46" t="s">
        <v>12</v>
      </c>
      <c r="I3" s="46"/>
      <c r="J3" s="46"/>
      <c r="K3" s="46"/>
      <c r="L3" s="46"/>
      <c r="M3" s="46"/>
      <c r="N3" s="46"/>
      <c r="O3" s="46"/>
      <c r="P3" s="46"/>
      <c r="Q3" s="46"/>
      <c r="R3" s="46" t="s">
        <v>13</v>
      </c>
    </row>
    <row r="4" customFormat="1" ht="15" customHeight="1" spans="1:18">
      <c r="A4" s="46"/>
      <c r="B4" s="46"/>
      <c r="C4" s="46"/>
      <c r="D4" s="46"/>
      <c r="E4" s="46"/>
      <c r="F4" s="46"/>
      <c r="G4" s="46"/>
      <c r="H4" s="46" t="s">
        <v>14</v>
      </c>
      <c r="I4" s="46" t="s">
        <v>15</v>
      </c>
      <c r="J4" s="46" t="s">
        <v>16</v>
      </c>
      <c r="K4" s="46" t="s">
        <v>17</v>
      </c>
      <c r="L4" s="46" t="s">
        <v>18</v>
      </c>
      <c r="M4" s="46" t="s">
        <v>19</v>
      </c>
      <c r="N4" s="46" t="s">
        <v>20</v>
      </c>
      <c r="O4" s="46" t="s">
        <v>21</v>
      </c>
      <c r="P4" s="46" t="s">
        <v>22</v>
      </c>
      <c r="Q4" s="46" t="s">
        <v>23</v>
      </c>
      <c r="R4" s="46"/>
    </row>
    <row r="5" customFormat="1" ht="15" customHeight="1" spans="1:18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customFormat="1" ht="34" customHeight="1" spans="1:18">
      <c r="A6" s="47">
        <v>1</v>
      </c>
      <c r="B6" s="47" t="s">
        <v>24</v>
      </c>
      <c r="C6" s="47" t="s">
        <v>25</v>
      </c>
      <c r="D6" s="47" t="s">
        <v>26</v>
      </c>
      <c r="E6" s="47" t="s">
        <v>27</v>
      </c>
      <c r="F6" s="47" t="s">
        <v>28</v>
      </c>
      <c r="G6" s="47" t="s">
        <v>29</v>
      </c>
      <c r="H6" s="48">
        <f>4246.39+278.24</f>
        <v>4524.63</v>
      </c>
      <c r="I6" s="48">
        <v>5908.96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0</v>
      </c>
      <c r="R6" s="48">
        <v>10433.59</v>
      </c>
    </row>
    <row r="7" customFormat="1" ht="19" customHeight="1" spans="1:18">
      <c r="A7" s="47">
        <v>2</v>
      </c>
      <c r="B7" s="47" t="s">
        <v>30</v>
      </c>
      <c r="C7" s="47" t="s">
        <v>31</v>
      </c>
      <c r="D7" s="47" t="s">
        <v>26</v>
      </c>
      <c r="E7" s="47" t="s">
        <v>32</v>
      </c>
      <c r="F7" s="47" t="s">
        <v>33</v>
      </c>
      <c r="G7" s="47" t="s">
        <v>29</v>
      </c>
      <c r="H7" s="48">
        <f>948.59+0</f>
        <v>948.59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948.59</v>
      </c>
    </row>
    <row r="8" customFormat="1" ht="15" customHeight="1" spans="1:18">
      <c r="A8" s="47">
        <v>3</v>
      </c>
      <c r="B8" s="47"/>
      <c r="C8" s="47"/>
      <c r="D8" s="47"/>
      <c r="E8" s="47" t="s">
        <v>27</v>
      </c>
      <c r="F8" s="47" t="s">
        <v>28</v>
      </c>
      <c r="G8" s="47" t="s">
        <v>29</v>
      </c>
      <c r="H8" s="48">
        <f>20324.49+4307.63</f>
        <v>24632.12</v>
      </c>
      <c r="I8" s="48">
        <v>15385.94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40018.06</v>
      </c>
    </row>
    <row r="9" customFormat="1" ht="34" customHeight="1" spans="1:18">
      <c r="A9" s="47">
        <v>4</v>
      </c>
      <c r="B9" s="47" t="s">
        <v>34</v>
      </c>
      <c r="C9" s="47" t="s">
        <v>35</v>
      </c>
      <c r="D9" s="47" t="s">
        <v>26</v>
      </c>
      <c r="E9" s="47" t="s">
        <v>27</v>
      </c>
      <c r="F9" s="47" t="s">
        <v>28</v>
      </c>
      <c r="G9" s="47" t="s">
        <v>29</v>
      </c>
      <c r="H9" s="48">
        <f>9438.66+489.99</f>
        <v>9928.65</v>
      </c>
      <c r="I9" s="48">
        <v>4704.54</v>
      </c>
      <c r="J9" s="48">
        <v>0</v>
      </c>
      <c r="K9" s="48">
        <v>0</v>
      </c>
      <c r="L9" s="48">
        <v>0</v>
      </c>
      <c r="M9" s="48">
        <v>0</v>
      </c>
      <c r="N9" s="48">
        <v>2697.45</v>
      </c>
      <c r="O9" s="48">
        <v>0</v>
      </c>
      <c r="P9" s="48">
        <v>0</v>
      </c>
      <c r="Q9" s="48">
        <v>0</v>
      </c>
      <c r="R9" s="48">
        <v>17330.64</v>
      </c>
    </row>
    <row r="10" customFormat="1" ht="45" customHeight="1" spans="1:18">
      <c r="A10" s="47">
        <v>5</v>
      </c>
      <c r="B10" s="47" t="s">
        <v>36</v>
      </c>
      <c r="C10" s="47" t="s">
        <v>37</v>
      </c>
      <c r="D10" s="47" t="s">
        <v>26</v>
      </c>
      <c r="E10" s="47" t="s">
        <v>27</v>
      </c>
      <c r="F10" s="47" t="s">
        <v>28</v>
      </c>
      <c r="G10" s="47" t="s">
        <v>29</v>
      </c>
      <c r="H10" s="48">
        <f>3431.3+3415.57</f>
        <v>6846.87</v>
      </c>
      <c r="I10" s="48">
        <v>3664.72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10511.59</v>
      </c>
    </row>
    <row r="11" customFormat="1" ht="15" customHeight="1" spans="1:18">
      <c r="A11" s="47">
        <v>6</v>
      </c>
      <c r="B11" s="47" t="s">
        <v>38</v>
      </c>
      <c r="C11" s="47" t="s">
        <v>39</v>
      </c>
      <c r="D11" s="47" t="s">
        <v>26</v>
      </c>
      <c r="E11" s="47" t="s">
        <v>32</v>
      </c>
      <c r="F11" s="47" t="s">
        <v>33</v>
      </c>
      <c r="G11" s="47" t="s">
        <v>29</v>
      </c>
      <c r="H11" s="48">
        <f>519.97+0</f>
        <v>519.97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519.97</v>
      </c>
    </row>
    <row r="12" customFormat="1" ht="15" customHeight="1" spans="1:18">
      <c r="A12" s="47">
        <v>7</v>
      </c>
      <c r="B12" s="47"/>
      <c r="C12" s="47"/>
      <c r="D12" s="47"/>
      <c r="E12" s="47" t="s">
        <v>27</v>
      </c>
      <c r="F12" s="47" t="s">
        <v>28</v>
      </c>
      <c r="G12" s="47" t="s">
        <v>29</v>
      </c>
      <c r="H12" s="48">
        <f>508.18+229.54</f>
        <v>737.72</v>
      </c>
      <c r="I12" s="48">
        <v>1076.02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1813.74</v>
      </c>
    </row>
    <row r="13" customFormat="1" ht="15" customHeight="1" spans="1:18">
      <c r="A13" s="47">
        <v>8</v>
      </c>
      <c r="B13" s="47" t="s">
        <v>40</v>
      </c>
      <c r="C13" s="47" t="s">
        <v>41</v>
      </c>
      <c r="D13" s="47" t="s">
        <v>26</v>
      </c>
      <c r="E13" s="47" t="s">
        <v>32</v>
      </c>
      <c r="F13" s="47" t="s">
        <v>33</v>
      </c>
      <c r="G13" s="47" t="s">
        <v>29</v>
      </c>
      <c r="H13" s="48">
        <f>19976.23+325.02</f>
        <v>20301.25</v>
      </c>
      <c r="I13" s="48">
        <v>0</v>
      </c>
      <c r="J13" s="48">
        <v>0</v>
      </c>
      <c r="K13" s="48">
        <v>0</v>
      </c>
      <c r="L13" s="48">
        <v>2067.23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22368.48</v>
      </c>
    </row>
    <row r="14" customFormat="1" ht="15" customHeight="1" spans="1:18">
      <c r="A14" s="47">
        <v>9</v>
      </c>
      <c r="B14" s="47"/>
      <c r="C14" s="47"/>
      <c r="D14" s="47"/>
      <c r="E14" s="47" t="s">
        <v>42</v>
      </c>
      <c r="F14" s="47" t="s">
        <v>28</v>
      </c>
      <c r="G14" s="47" t="s">
        <v>29</v>
      </c>
      <c r="H14" s="48">
        <f>910.83+0</f>
        <v>910.83</v>
      </c>
      <c r="I14" s="48">
        <v>8818.5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9729.33</v>
      </c>
    </row>
    <row r="15" customFormat="1" ht="15" customHeight="1" spans="1:18">
      <c r="A15" s="47">
        <v>10</v>
      </c>
      <c r="B15" s="47"/>
      <c r="C15" s="47"/>
      <c r="D15" s="47"/>
      <c r="E15" s="47" t="s">
        <v>43</v>
      </c>
      <c r="F15" s="47" t="s">
        <v>28</v>
      </c>
      <c r="G15" s="47" t="s">
        <v>29</v>
      </c>
      <c r="H15" s="48">
        <f>1057.5+0</f>
        <v>1057.5</v>
      </c>
      <c r="I15" s="48">
        <v>3300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4357.5</v>
      </c>
    </row>
    <row r="16" customFormat="1" ht="15" customHeight="1" spans="1:18">
      <c r="A16" s="47">
        <v>11</v>
      </c>
      <c r="B16" s="47"/>
      <c r="C16" s="47"/>
      <c r="D16" s="47"/>
      <c r="E16" s="47" t="s">
        <v>27</v>
      </c>
      <c r="F16" s="47" t="s">
        <v>28</v>
      </c>
      <c r="G16" s="47" t="s">
        <v>29</v>
      </c>
      <c r="H16" s="48">
        <f>104295.7+12529.14</f>
        <v>116824.84</v>
      </c>
      <c r="I16" s="48">
        <v>135233.13</v>
      </c>
      <c r="J16" s="48">
        <v>0</v>
      </c>
      <c r="K16" s="48">
        <v>49069.93</v>
      </c>
      <c r="L16" s="48">
        <v>586.38</v>
      </c>
      <c r="M16" s="48">
        <v>0</v>
      </c>
      <c r="N16" s="48">
        <v>0</v>
      </c>
      <c r="O16" s="48">
        <v>383.89</v>
      </c>
      <c r="P16" s="48">
        <v>0</v>
      </c>
      <c r="Q16" s="48">
        <v>0</v>
      </c>
      <c r="R16" s="48">
        <v>302098.17</v>
      </c>
    </row>
    <row r="17" customFormat="1" ht="15" customHeight="1" spans="1:18">
      <c r="A17" s="47">
        <v>12</v>
      </c>
      <c r="B17" s="47" t="s">
        <v>44</v>
      </c>
      <c r="C17" s="47" t="s">
        <v>45</v>
      </c>
      <c r="D17" s="47" t="s">
        <v>26</v>
      </c>
      <c r="E17" s="47" t="s">
        <v>32</v>
      </c>
      <c r="F17" s="47" t="s">
        <v>33</v>
      </c>
      <c r="G17" s="47" t="s">
        <v>29</v>
      </c>
      <c r="H17" s="48">
        <f>11055.4+54.42</f>
        <v>11109.82</v>
      </c>
      <c r="I17" s="48">
        <v>0</v>
      </c>
      <c r="J17" s="48">
        <v>0</v>
      </c>
      <c r="K17" s="48">
        <v>0</v>
      </c>
      <c r="L17" s="48">
        <v>489.79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11599.61</v>
      </c>
    </row>
    <row r="18" customFormat="1" ht="15" customHeight="1" spans="1:18">
      <c r="A18" s="47">
        <v>13</v>
      </c>
      <c r="B18" s="47"/>
      <c r="C18" s="47"/>
      <c r="D18" s="47"/>
      <c r="E18" s="47" t="s">
        <v>27</v>
      </c>
      <c r="F18" s="47" t="s">
        <v>28</v>
      </c>
      <c r="G18" s="47" t="s">
        <v>29</v>
      </c>
      <c r="H18" s="48">
        <f>24124.84+2291.11</f>
        <v>26415.95</v>
      </c>
      <c r="I18" s="48">
        <v>39521.15</v>
      </c>
      <c r="J18" s="48">
        <v>0</v>
      </c>
      <c r="K18" s="48">
        <v>0</v>
      </c>
      <c r="L18" s="48">
        <v>6.96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65944.06</v>
      </c>
    </row>
    <row r="19" customFormat="1" ht="34" customHeight="1" spans="1:18">
      <c r="A19" s="47">
        <v>14</v>
      </c>
      <c r="B19" s="47" t="s">
        <v>46</v>
      </c>
      <c r="C19" s="47" t="s">
        <v>47</v>
      </c>
      <c r="D19" s="47" t="s">
        <v>26</v>
      </c>
      <c r="E19" s="47" t="s">
        <v>27</v>
      </c>
      <c r="F19" s="47" t="s">
        <v>28</v>
      </c>
      <c r="G19" s="47" t="s">
        <v>29</v>
      </c>
      <c r="H19" s="48">
        <f>4278.51+617.47</f>
        <v>4895.98</v>
      </c>
      <c r="I19" s="48">
        <v>4570.75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9466.73</v>
      </c>
    </row>
    <row r="20" customFormat="1" ht="34" customHeight="1" spans="1:18">
      <c r="A20" s="47">
        <v>15</v>
      </c>
      <c r="B20" s="47" t="s">
        <v>48</v>
      </c>
      <c r="C20" s="47" t="s">
        <v>49</v>
      </c>
      <c r="D20" s="47" t="s">
        <v>26</v>
      </c>
      <c r="E20" s="47" t="s">
        <v>27</v>
      </c>
      <c r="F20" s="47" t="s">
        <v>28</v>
      </c>
      <c r="G20" s="47" t="s">
        <v>29</v>
      </c>
      <c r="H20" s="48">
        <f>22086.97+1095.36</f>
        <v>23182.33</v>
      </c>
      <c r="I20" s="48">
        <v>15607.36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38789.69</v>
      </c>
    </row>
    <row r="21" customFormat="1" ht="34" customHeight="1" spans="1:18">
      <c r="A21" s="47">
        <v>16</v>
      </c>
      <c r="B21" s="47" t="s">
        <v>50</v>
      </c>
      <c r="C21" s="47" t="s">
        <v>51</v>
      </c>
      <c r="D21" s="47" t="s">
        <v>26</v>
      </c>
      <c r="E21" s="47" t="s">
        <v>27</v>
      </c>
      <c r="F21" s="47" t="s">
        <v>28</v>
      </c>
      <c r="G21" s="47" t="s">
        <v>29</v>
      </c>
      <c r="H21" s="48">
        <f>31490.06+1851.36</f>
        <v>33341.42</v>
      </c>
      <c r="I21" s="48">
        <v>26983.39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60324.81</v>
      </c>
    </row>
    <row r="22" customFormat="1" ht="34" customHeight="1" spans="1:18">
      <c r="A22" s="47">
        <v>17</v>
      </c>
      <c r="B22" s="47" t="s">
        <v>52</v>
      </c>
      <c r="C22" s="47" t="s">
        <v>53</v>
      </c>
      <c r="D22" s="47" t="s">
        <v>26</v>
      </c>
      <c r="E22" s="47" t="s">
        <v>27</v>
      </c>
      <c r="F22" s="47" t="s">
        <v>28</v>
      </c>
      <c r="G22" s="47" t="s">
        <v>29</v>
      </c>
      <c r="H22" s="48">
        <f>388.28+0</f>
        <v>388.28</v>
      </c>
      <c r="I22" s="48">
        <v>46.87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435.15</v>
      </c>
    </row>
    <row r="23" customFormat="1" ht="23" customHeight="1" spans="1:18">
      <c r="A23" s="47">
        <v>18</v>
      </c>
      <c r="B23" s="47" t="s">
        <v>54</v>
      </c>
      <c r="C23" s="47" t="s">
        <v>55</v>
      </c>
      <c r="D23" s="47" t="s">
        <v>26</v>
      </c>
      <c r="E23" s="47" t="s">
        <v>27</v>
      </c>
      <c r="F23" s="47" t="s">
        <v>28</v>
      </c>
      <c r="G23" s="47" t="s">
        <v>29</v>
      </c>
      <c r="H23" s="48">
        <f>9296+3151.93</f>
        <v>12447.93</v>
      </c>
      <c r="I23" s="48">
        <v>10970.92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23418.85</v>
      </c>
    </row>
    <row r="24" customFormat="1" ht="34" customHeight="1" spans="1:18">
      <c r="A24" s="47">
        <v>19</v>
      </c>
      <c r="B24" s="47" t="s">
        <v>56</v>
      </c>
      <c r="C24" s="47" t="s">
        <v>57</v>
      </c>
      <c r="D24" s="47" t="s">
        <v>26</v>
      </c>
      <c r="E24" s="47" t="s">
        <v>27</v>
      </c>
      <c r="F24" s="47" t="s">
        <v>28</v>
      </c>
      <c r="G24" s="47" t="s">
        <v>29</v>
      </c>
      <c r="H24" s="48">
        <f>2711.76+86.25</f>
        <v>2798.01</v>
      </c>
      <c r="I24" s="48">
        <v>5269.29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8067.3</v>
      </c>
    </row>
    <row r="25" customFormat="1" ht="15" customHeight="1" spans="1:18">
      <c r="A25" s="47">
        <v>20</v>
      </c>
      <c r="B25" s="47" t="s">
        <v>58</v>
      </c>
      <c r="C25" s="47" t="s">
        <v>59</v>
      </c>
      <c r="D25" s="47" t="s">
        <v>26</v>
      </c>
      <c r="E25" s="47" t="s">
        <v>32</v>
      </c>
      <c r="F25" s="47" t="s">
        <v>33</v>
      </c>
      <c r="G25" s="47" t="s">
        <v>29</v>
      </c>
      <c r="H25" s="48">
        <f>1977.07+0</f>
        <v>1977.07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1977.07</v>
      </c>
    </row>
    <row r="26" customFormat="1" ht="15" customHeight="1" spans="1:18">
      <c r="A26" s="47">
        <v>21</v>
      </c>
      <c r="B26" s="47"/>
      <c r="C26" s="47"/>
      <c r="D26" s="47"/>
      <c r="E26" s="47" t="s">
        <v>27</v>
      </c>
      <c r="F26" s="47" t="s">
        <v>28</v>
      </c>
      <c r="G26" s="47" t="s">
        <v>29</v>
      </c>
      <c r="H26" s="48">
        <f>4811.79+567.45</f>
        <v>5379.24</v>
      </c>
      <c r="I26" s="48">
        <v>6182.53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11561.77</v>
      </c>
    </row>
    <row r="27" customFormat="1" ht="15" customHeight="1" spans="1:18">
      <c r="A27" s="47">
        <v>22</v>
      </c>
      <c r="B27" s="47" t="s">
        <v>60</v>
      </c>
      <c r="C27" s="47" t="s">
        <v>61</v>
      </c>
      <c r="D27" s="47" t="s">
        <v>26</v>
      </c>
      <c r="E27" s="47" t="s">
        <v>27</v>
      </c>
      <c r="F27" s="47" t="s">
        <v>28</v>
      </c>
      <c r="G27" s="47" t="s">
        <v>29</v>
      </c>
      <c r="H27" s="48">
        <f>998.88+83.72</f>
        <v>1082.6</v>
      </c>
      <c r="I27" s="48">
        <v>908.25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1990.85</v>
      </c>
    </row>
    <row r="28" customFormat="1" ht="15" customHeight="1" spans="1:18">
      <c r="A28" s="47">
        <v>23</v>
      </c>
      <c r="B28" s="47" t="s">
        <v>62</v>
      </c>
      <c r="C28" s="47" t="s">
        <v>63</v>
      </c>
      <c r="D28" s="47" t="s">
        <v>26</v>
      </c>
      <c r="E28" s="47" t="s">
        <v>27</v>
      </c>
      <c r="F28" s="47" t="s">
        <v>28</v>
      </c>
      <c r="G28" s="47" t="s">
        <v>29</v>
      </c>
      <c r="H28" s="48">
        <f>1565.37+0</f>
        <v>1565.37</v>
      </c>
      <c r="I28" s="48">
        <v>222.41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1787.78</v>
      </c>
    </row>
    <row r="29" customFormat="1" ht="15" customHeight="1" spans="1:18">
      <c r="A29" s="47">
        <v>24</v>
      </c>
      <c r="B29" s="47" t="s">
        <v>64</v>
      </c>
      <c r="C29" s="47" t="s">
        <v>65</v>
      </c>
      <c r="D29" s="47" t="s">
        <v>26</v>
      </c>
      <c r="E29" s="47" t="s">
        <v>27</v>
      </c>
      <c r="F29" s="47" t="s">
        <v>28</v>
      </c>
      <c r="G29" s="47" t="s">
        <v>29</v>
      </c>
      <c r="H29" s="48">
        <f>5210.79+300.7</f>
        <v>5511.49</v>
      </c>
      <c r="I29" s="48">
        <v>4384.26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9895.75</v>
      </c>
    </row>
    <row r="30" customFormat="1" ht="19" customHeight="1" spans="1:18">
      <c r="A30" s="47">
        <v>25</v>
      </c>
      <c r="B30" s="47" t="s">
        <v>66</v>
      </c>
      <c r="C30" s="47" t="s">
        <v>67</v>
      </c>
      <c r="D30" s="47" t="s">
        <v>26</v>
      </c>
      <c r="E30" s="47" t="s">
        <v>32</v>
      </c>
      <c r="F30" s="47" t="s">
        <v>33</v>
      </c>
      <c r="G30" s="47" t="s">
        <v>29</v>
      </c>
      <c r="H30" s="48">
        <f>10122.08+35.09</f>
        <v>10157.17</v>
      </c>
      <c r="I30" s="48">
        <v>35278.27</v>
      </c>
      <c r="J30" s="48">
        <v>0</v>
      </c>
      <c r="K30" s="48">
        <v>0</v>
      </c>
      <c r="L30" s="48">
        <v>658.22</v>
      </c>
      <c r="M30" s="48">
        <v>0</v>
      </c>
      <c r="N30" s="48">
        <v>167.78</v>
      </c>
      <c r="O30" s="48">
        <v>0</v>
      </c>
      <c r="P30" s="48">
        <v>0</v>
      </c>
      <c r="Q30" s="48">
        <v>0</v>
      </c>
      <c r="R30" s="48">
        <v>46261.44</v>
      </c>
    </row>
    <row r="31" ht="15" customHeight="1" spans="1:18">
      <c r="A31" s="47">
        <v>26</v>
      </c>
      <c r="B31" s="47"/>
      <c r="C31" s="47"/>
      <c r="D31" s="47"/>
      <c r="E31" s="47" t="s">
        <v>27</v>
      </c>
      <c r="F31" s="47" t="s">
        <v>28</v>
      </c>
      <c r="G31" s="47" t="s">
        <v>29</v>
      </c>
      <c r="H31" s="48">
        <f>81780.87+3203.24</f>
        <v>84984.11</v>
      </c>
      <c r="I31" s="48">
        <v>55291.12</v>
      </c>
      <c r="J31" s="48">
        <v>0</v>
      </c>
      <c r="K31" s="48">
        <v>0</v>
      </c>
      <c r="L31" s="48">
        <v>0</v>
      </c>
      <c r="M31" s="48">
        <v>0</v>
      </c>
      <c r="N31" s="48">
        <v>329.17</v>
      </c>
      <c r="O31" s="48">
        <v>0</v>
      </c>
      <c r="P31" s="48">
        <v>0</v>
      </c>
      <c r="Q31" s="48">
        <v>0</v>
      </c>
      <c r="R31" s="48">
        <v>140604.4</v>
      </c>
    </row>
    <row r="32" ht="34" customHeight="1" spans="1:18">
      <c r="A32" s="47">
        <v>27</v>
      </c>
      <c r="B32" s="47" t="s">
        <v>68</v>
      </c>
      <c r="C32" s="47" t="s">
        <v>69</v>
      </c>
      <c r="D32" s="47" t="s">
        <v>26</v>
      </c>
      <c r="E32" s="47" t="s">
        <v>27</v>
      </c>
      <c r="F32" s="47" t="s">
        <v>28</v>
      </c>
      <c r="G32" s="47" t="s">
        <v>29</v>
      </c>
      <c r="H32" s="48">
        <f>1470.46+150.93</f>
        <v>1621.39</v>
      </c>
      <c r="I32" s="48">
        <v>697.28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2318.67</v>
      </c>
    </row>
    <row r="33" customFormat="1" ht="15" customHeight="1" spans="1:18">
      <c r="A33" s="47" t="s">
        <v>70</v>
      </c>
      <c r="B33" s="47"/>
      <c r="C33" s="47"/>
      <c r="D33" s="47"/>
      <c r="E33" s="47"/>
      <c r="F33" s="47"/>
      <c r="G33" s="47"/>
      <c r="H33" s="48">
        <f>379026.97+35064.16</f>
        <v>414091.13</v>
      </c>
      <c r="I33" s="48">
        <v>384025.66</v>
      </c>
      <c r="J33" s="48">
        <v>0</v>
      </c>
      <c r="K33" s="48">
        <v>49069.93</v>
      </c>
      <c r="L33" s="48">
        <v>3808.58</v>
      </c>
      <c r="M33" s="48">
        <v>0</v>
      </c>
      <c r="N33" s="48">
        <v>3194.4</v>
      </c>
      <c r="O33" s="48">
        <v>383.89</v>
      </c>
      <c r="P33" s="48">
        <v>0</v>
      </c>
      <c r="Q33" s="48">
        <v>0</v>
      </c>
      <c r="R33" s="48">
        <v>854573.59</v>
      </c>
    </row>
    <row r="34" ht="23" customHeight="1" spans="1:18">
      <c r="A34" s="47">
        <v>28</v>
      </c>
      <c r="B34" s="47" t="s">
        <v>71</v>
      </c>
      <c r="C34" s="47" t="s">
        <v>72</v>
      </c>
      <c r="D34" s="47" t="s">
        <v>26</v>
      </c>
      <c r="E34" s="47" t="s">
        <v>27</v>
      </c>
      <c r="F34" s="47" t="s">
        <v>28</v>
      </c>
      <c r="G34" s="47" t="s">
        <v>29</v>
      </c>
      <c r="H34" s="48">
        <f t="shared" ref="H34:H37" si="0">0+0</f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</row>
    <row r="35" ht="34" customHeight="1" spans="1:18">
      <c r="A35" s="47">
        <v>29</v>
      </c>
      <c r="B35" s="47" t="s">
        <v>73</v>
      </c>
      <c r="C35" s="47" t="s">
        <v>74</v>
      </c>
      <c r="D35" s="47" t="s">
        <v>26</v>
      </c>
      <c r="E35" s="47" t="s">
        <v>27</v>
      </c>
      <c r="F35" s="47" t="s">
        <v>28</v>
      </c>
      <c r="G35" s="47" t="s">
        <v>29</v>
      </c>
      <c r="H35" s="48">
        <f t="shared" si="0"/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</row>
    <row r="36" ht="23" customHeight="1" spans="1:18">
      <c r="A36" s="47">
        <v>30</v>
      </c>
      <c r="B36" s="47" t="s">
        <v>75</v>
      </c>
      <c r="C36" s="47" t="s">
        <v>76</v>
      </c>
      <c r="D36" s="47" t="s">
        <v>26</v>
      </c>
      <c r="E36" s="47" t="s">
        <v>27</v>
      </c>
      <c r="F36" s="47" t="s">
        <v>28</v>
      </c>
      <c r="G36" s="47" t="s">
        <v>29</v>
      </c>
      <c r="H36" s="48">
        <f t="shared" si="0"/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</row>
    <row r="37" ht="23" customHeight="1" spans="1:18">
      <c r="A37" s="47">
        <v>31</v>
      </c>
      <c r="B37" s="47" t="s">
        <v>77</v>
      </c>
      <c r="C37" s="47" t="s">
        <v>78</v>
      </c>
      <c r="D37" s="47" t="s">
        <v>26</v>
      </c>
      <c r="E37" s="47" t="s">
        <v>27</v>
      </c>
      <c r="F37" s="47" t="s">
        <v>28</v>
      </c>
      <c r="G37" s="47" t="s">
        <v>29</v>
      </c>
      <c r="H37" s="48">
        <f t="shared" si="0"/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</row>
    <row r="38" ht="23" customHeight="1" spans="1:18">
      <c r="A38" s="47">
        <v>32</v>
      </c>
      <c r="B38" s="47" t="s">
        <v>79</v>
      </c>
      <c r="C38" s="47" t="s">
        <v>80</v>
      </c>
      <c r="D38" s="47" t="s">
        <v>26</v>
      </c>
      <c r="E38" s="47" t="s">
        <v>27</v>
      </c>
      <c r="F38" s="47" t="s">
        <v>28</v>
      </c>
      <c r="G38" s="47" t="s">
        <v>29</v>
      </c>
      <c r="H38" s="48">
        <f>0+1.39</f>
        <v>1.39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1.39</v>
      </c>
    </row>
    <row r="39" ht="23" customHeight="1" spans="1:18">
      <c r="A39" s="47">
        <v>33</v>
      </c>
      <c r="B39" s="47" t="s">
        <v>81</v>
      </c>
      <c r="C39" s="47" t="s">
        <v>82</v>
      </c>
      <c r="D39" s="47" t="s">
        <v>26</v>
      </c>
      <c r="E39" s="47" t="s">
        <v>27</v>
      </c>
      <c r="F39" s="47" t="s">
        <v>28</v>
      </c>
      <c r="G39" s="47" t="s">
        <v>29</v>
      </c>
      <c r="H39" s="48">
        <f>19.55+0</f>
        <v>19.55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19.55</v>
      </c>
    </row>
    <row r="40" ht="23" customHeight="1" spans="1:18">
      <c r="A40" s="47">
        <v>34</v>
      </c>
      <c r="B40" s="47" t="s">
        <v>83</v>
      </c>
      <c r="C40" s="47" t="s">
        <v>84</v>
      </c>
      <c r="D40" s="47" t="s">
        <v>26</v>
      </c>
      <c r="E40" s="47" t="s">
        <v>27</v>
      </c>
      <c r="F40" s="47" t="s">
        <v>28</v>
      </c>
      <c r="G40" s="47" t="s">
        <v>29</v>
      </c>
      <c r="H40" s="48">
        <f>0+0</f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</row>
    <row r="41" ht="23" customHeight="1" spans="1:18">
      <c r="A41" s="47">
        <v>35</v>
      </c>
      <c r="B41" s="47" t="s">
        <v>85</v>
      </c>
      <c r="C41" s="47" t="s">
        <v>86</v>
      </c>
      <c r="D41" s="47" t="s">
        <v>26</v>
      </c>
      <c r="E41" s="47" t="s">
        <v>27</v>
      </c>
      <c r="F41" s="47" t="s">
        <v>28</v>
      </c>
      <c r="G41" s="47" t="s">
        <v>29</v>
      </c>
      <c r="H41" s="48">
        <f>2.24+0</f>
        <v>2.24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2.24</v>
      </c>
    </row>
    <row r="42" ht="15" customHeight="1" spans="1:18">
      <c r="A42" s="47" t="s">
        <v>87</v>
      </c>
      <c r="B42" s="47"/>
      <c r="C42" s="47"/>
      <c r="D42" s="47"/>
      <c r="E42" s="47"/>
      <c r="F42" s="47"/>
      <c r="G42" s="47"/>
      <c r="H42" s="48">
        <f>21.79+1.39</f>
        <v>23.18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23.18</v>
      </c>
    </row>
    <row r="43" s="39" customFormat="1"/>
  </sheetData>
  <mergeCells count="43">
    <mergeCell ref="A1:R1"/>
    <mergeCell ref="A2:E2"/>
    <mergeCell ref="H2:J2"/>
    <mergeCell ref="M2:O2"/>
    <mergeCell ref="H3:Q3"/>
    <mergeCell ref="A33:G33"/>
    <mergeCell ref="A42:G42"/>
    <mergeCell ref="A3:A5"/>
    <mergeCell ref="B3:B5"/>
    <mergeCell ref="B7:B8"/>
    <mergeCell ref="B11:B12"/>
    <mergeCell ref="B13:B16"/>
    <mergeCell ref="B17:B18"/>
    <mergeCell ref="B25:B26"/>
    <mergeCell ref="B30:B31"/>
    <mergeCell ref="C3:C5"/>
    <mergeCell ref="C7:C8"/>
    <mergeCell ref="C11:C12"/>
    <mergeCell ref="C13:C16"/>
    <mergeCell ref="C17:C18"/>
    <mergeCell ref="C25:C26"/>
    <mergeCell ref="C30:C31"/>
    <mergeCell ref="D3:D5"/>
    <mergeCell ref="D7:D8"/>
    <mergeCell ref="D11:D12"/>
    <mergeCell ref="D13:D16"/>
    <mergeCell ref="D17:D18"/>
    <mergeCell ref="D25:D26"/>
    <mergeCell ref="D30:D31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G24" sqref="G24"/>
    </sheetView>
  </sheetViews>
  <sheetFormatPr defaultColWidth="9" defaultRowHeight="13.5" outlineLevelRow="7"/>
  <cols>
    <col min="1" max="1" width="5.125" style="40" customWidth="1"/>
    <col min="2" max="2" width="10.9833333333333" style="40" customWidth="1"/>
    <col min="3" max="3" width="12.2" style="40" customWidth="1"/>
    <col min="4" max="4" width="5.125" style="40" customWidth="1"/>
    <col min="5" max="6" width="7.44166666666667" style="40" customWidth="1"/>
    <col min="7" max="7" width="7.56666666666667" style="40" customWidth="1"/>
    <col min="8" max="14" width="9.75833333333333" style="40" customWidth="1"/>
    <col min="15" max="16" width="8.94166666666667" style="40" customWidth="1"/>
    <col min="17" max="17" width="8" style="40" hidden="1"/>
    <col min="18" max="18" width="10.575" style="40" customWidth="1"/>
  </cols>
  <sheetData>
    <row r="1" ht="38.25" customHeight="1" spans="1:18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ht="15" customHeight="1" spans="1:18">
      <c r="A2" s="42" t="s">
        <v>1</v>
      </c>
      <c r="B2" s="42"/>
      <c r="C2" s="42"/>
      <c r="D2" s="42"/>
      <c r="E2" s="42"/>
      <c r="F2" s="43" t="s">
        <v>2</v>
      </c>
      <c r="G2" s="44"/>
      <c r="H2" s="45" t="s">
        <v>3</v>
      </c>
      <c r="I2" s="45"/>
      <c r="J2" s="45"/>
      <c r="K2" s="45" t="s">
        <v>2</v>
      </c>
      <c r="L2" s="44"/>
      <c r="M2" s="49"/>
      <c r="N2" s="49"/>
      <c r="O2" s="49"/>
      <c r="P2" s="45" t="s">
        <v>2</v>
      </c>
      <c r="Q2" s="45" t="s">
        <v>2</v>
      </c>
      <c r="R2" s="44" t="s">
        <v>4</v>
      </c>
    </row>
    <row r="3" ht="15" customHeight="1" spans="1:18">
      <c r="A3" s="46" t="s">
        <v>5</v>
      </c>
      <c r="B3" s="46" t="s">
        <v>6</v>
      </c>
      <c r="C3" s="46" t="s">
        <v>7</v>
      </c>
      <c r="D3" s="46" t="s">
        <v>8</v>
      </c>
      <c r="E3" s="46" t="s">
        <v>9</v>
      </c>
      <c r="F3" s="46" t="s">
        <v>10</v>
      </c>
      <c r="G3" s="46" t="s">
        <v>11</v>
      </c>
      <c r="H3" s="46" t="s">
        <v>12</v>
      </c>
      <c r="I3" s="46"/>
      <c r="J3" s="46"/>
      <c r="K3" s="46"/>
      <c r="L3" s="46"/>
      <c r="M3" s="46"/>
      <c r="N3" s="46"/>
      <c r="O3" s="46"/>
      <c r="P3" s="46"/>
      <c r="Q3" s="46"/>
      <c r="R3" s="46" t="s">
        <v>13</v>
      </c>
    </row>
    <row r="4" ht="15" customHeight="1" spans="1:18">
      <c r="A4" s="46"/>
      <c r="B4" s="46"/>
      <c r="C4" s="46"/>
      <c r="D4" s="46"/>
      <c r="E4" s="46"/>
      <c r="F4" s="46"/>
      <c r="G4" s="46"/>
      <c r="H4" s="46" t="s">
        <v>14</v>
      </c>
      <c r="I4" s="46" t="s">
        <v>15</v>
      </c>
      <c r="J4" s="46" t="s">
        <v>16</v>
      </c>
      <c r="K4" s="46" t="s">
        <v>17</v>
      </c>
      <c r="L4" s="46" t="s">
        <v>18</v>
      </c>
      <c r="M4" s="46" t="s">
        <v>19</v>
      </c>
      <c r="N4" s="46" t="s">
        <v>20</v>
      </c>
      <c r="O4" s="46" t="s">
        <v>21</v>
      </c>
      <c r="P4" s="46" t="s">
        <v>22</v>
      </c>
      <c r="Q4" s="46" t="s">
        <v>23</v>
      </c>
      <c r="R4" s="46"/>
    </row>
    <row r="5" ht="15" customHeight="1" spans="1:18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ht="23" customHeight="1" spans="1:18">
      <c r="A6" s="47">
        <v>1</v>
      </c>
      <c r="B6" s="47" t="s">
        <v>40</v>
      </c>
      <c r="C6" s="47" t="s">
        <v>41</v>
      </c>
      <c r="D6" s="47" t="s">
        <v>26</v>
      </c>
      <c r="E6" s="47" t="s">
        <v>27</v>
      </c>
      <c r="F6" s="47" t="s">
        <v>88</v>
      </c>
      <c r="G6" s="47" t="s">
        <v>29</v>
      </c>
      <c r="H6" s="48">
        <f>0+0</f>
        <v>0</v>
      </c>
      <c r="I6" s="48">
        <v>-76587.9</v>
      </c>
      <c r="J6" s="48">
        <v>0</v>
      </c>
      <c r="K6" s="48">
        <v>-30827.1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0</v>
      </c>
      <c r="R6" s="48">
        <v>-107415</v>
      </c>
    </row>
    <row r="7" ht="15" customHeight="1" spans="1:18">
      <c r="A7" s="47" t="s">
        <v>89</v>
      </c>
      <c r="B7" s="47"/>
      <c r="C7" s="47"/>
      <c r="D7" s="47"/>
      <c r="E7" s="47"/>
      <c r="F7" s="47"/>
      <c r="G7" s="47"/>
      <c r="H7" s="48">
        <f>0+0</f>
        <v>0</v>
      </c>
      <c r="I7" s="48">
        <v>-76587.9</v>
      </c>
      <c r="J7" s="48">
        <v>0</v>
      </c>
      <c r="K7" s="48">
        <v>-30827.1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-107415</v>
      </c>
    </row>
    <row r="8" s="39" customFormat="1"/>
  </sheetData>
  <mergeCells count="24">
    <mergeCell ref="A1:R1"/>
    <mergeCell ref="A2:E2"/>
    <mergeCell ref="H2:J2"/>
    <mergeCell ref="M2:O2"/>
    <mergeCell ref="H3:Q3"/>
    <mergeCell ref="A7:G7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F15" sqref="F15"/>
    </sheetView>
  </sheetViews>
  <sheetFormatPr defaultColWidth="8.8" defaultRowHeight="14.25"/>
  <cols>
    <col min="1" max="1" width="4" style="1" customWidth="1"/>
    <col min="2" max="2" width="13.6333333333333" style="1" customWidth="1"/>
    <col min="3" max="3" width="19.5" style="1" customWidth="1"/>
    <col min="4" max="4" width="6" style="1" customWidth="1"/>
    <col min="5" max="5" width="8.38333333333333" style="1" customWidth="1"/>
    <col min="6" max="6" width="5.5" style="1" customWidth="1"/>
    <col min="7" max="19" width="9" style="1" customWidth="1"/>
    <col min="20" max="20" width="8.88333333333333" style="1" customWidth="1"/>
    <col min="21" max="16384" width="8.8" style="1"/>
  </cols>
  <sheetData>
    <row r="1" s="26" customFormat="1" ht="37.05" customHeight="1" spans="1:20">
      <c r="A1" s="5" t="s">
        <v>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26" customFormat="1" ht="21" customHeight="1" spans="1:19">
      <c r="A2" s="30" t="s">
        <v>1</v>
      </c>
      <c r="B2" s="30"/>
      <c r="C2" s="30"/>
      <c r="D2" s="30"/>
      <c r="E2" s="30"/>
      <c r="F2" s="30"/>
      <c r="H2" s="30"/>
      <c r="I2" s="34" t="s">
        <v>91</v>
      </c>
      <c r="J2" s="34"/>
      <c r="K2" s="34"/>
      <c r="L2" s="34"/>
      <c r="M2" s="6"/>
      <c r="N2" s="35"/>
      <c r="O2" s="35"/>
      <c r="P2" s="35"/>
      <c r="Q2" s="30"/>
      <c r="R2" s="23" t="s">
        <v>4</v>
      </c>
      <c r="S2" s="23"/>
    </row>
    <row r="3" s="27" customFormat="1" ht="33" customHeight="1" spans="1:20">
      <c r="A3" s="31" t="s">
        <v>5</v>
      </c>
      <c r="B3" s="31" t="s">
        <v>92</v>
      </c>
      <c r="C3" s="31" t="s">
        <v>93</v>
      </c>
      <c r="D3" s="31" t="s">
        <v>94</v>
      </c>
      <c r="E3" s="31" t="s">
        <v>95</v>
      </c>
      <c r="F3" s="31" t="s">
        <v>9</v>
      </c>
      <c r="G3" s="31" t="s">
        <v>96</v>
      </c>
      <c r="H3" s="31"/>
      <c r="I3" s="31"/>
      <c r="J3" s="31" t="s">
        <v>18</v>
      </c>
      <c r="K3" s="31"/>
      <c r="L3" s="31"/>
      <c r="M3" s="31" t="s">
        <v>97</v>
      </c>
      <c r="N3" s="31" t="s">
        <v>98</v>
      </c>
      <c r="O3" s="31" t="s">
        <v>99</v>
      </c>
      <c r="P3" s="36" t="s">
        <v>100</v>
      </c>
      <c r="Q3" s="31" t="s">
        <v>21</v>
      </c>
      <c r="R3" s="31" t="s">
        <v>101</v>
      </c>
      <c r="S3" s="36" t="s">
        <v>22</v>
      </c>
      <c r="T3" s="31" t="s">
        <v>102</v>
      </c>
    </row>
    <row r="4" s="28" customFormat="1" ht="60" customHeight="1" spans="1:20">
      <c r="A4" s="31"/>
      <c r="B4" s="31"/>
      <c r="C4" s="31"/>
      <c r="D4" s="31"/>
      <c r="E4" s="31"/>
      <c r="F4" s="31"/>
      <c r="G4" s="31" t="s">
        <v>14</v>
      </c>
      <c r="H4" s="31" t="s">
        <v>103</v>
      </c>
      <c r="I4" s="31" t="s">
        <v>70</v>
      </c>
      <c r="J4" s="31" t="s">
        <v>14</v>
      </c>
      <c r="K4" s="31" t="s">
        <v>103</v>
      </c>
      <c r="L4" s="31" t="s">
        <v>70</v>
      </c>
      <c r="M4" s="31"/>
      <c r="N4" s="36"/>
      <c r="O4" s="31"/>
      <c r="P4" s="37"/>
      <c r="Q4" s="31"/>
      <c r="R4" s="31"/>
      <c r="S4" s="37"/>
      <c r="T4" s="31"/>
    </row>
    <row r="5" s="29" customFormat="1" ht="34" customHeight="1" spans="1:20">
      <c r="A5" s="32" t="s">
        <v>104</v>
      </c>
      <c r="B5" s="32" t="s">
        <v>30</v>
      </c>
      <c r="C5" s="32" t="s">
        <v>31</v>
      </c>
      <c r="D5" s="32" t="s">
        <v>105</v>
      </c>
      <c r="E5" s="32" t="s">
        <v>106</v>
      </c>
      <c r="F5" s="32" t="s">
        <v>107</v>
      </c>
      <c r="G5" s="33">
        <v>0</v>
      </c>
      <c r="H5" s="33">
        <v>9744</v>
      </c>
      <c r="I5" s="38">
        <f t="shared" ref="I5:I9" si="0">SUM(H5+G5)</f>
        <v>9744</v>
      </c>
      <c r="J5" s="38">
        <v>0</v>
      </c>
      <c r="K5" s="38">
        <v>0</v>
      </c>
      <c r="L5" s="38">
        <f t="shared" ref="L5:L9" si="1">SUM(K5+J5)</f>
        <v>0</v>
      </c>
      <c r="M5" s="33">
        <v>0</v>
      </c>
      <c r="N5" s="38">
        <v>0</v>
      </c>
      <c r="O5" s="33">
        <v>0</v>
      </c>
      <c r="P5" s="33">
        <v>0</v>
      </c>
      <c r="Q5" s="33">
        <v>0</v>
      </c>
      <c r="R5" s="33">
        <v>0</v>
      </c>
      <c r="S5" s="33">
        <v>0</v>
      </c>
      <c r="T5" s="33">
        <v>7795.2</v>
      </c>
    </row>
    <row r="6" s="29" customFormat="1" ht="34" customHeight="1" spans="1:20">
      <c r="A6" s="32" t="s">
        <v>108</v>
      </c>
      <c r="B6" s="32" t="s">
        <v>34</v>
      </c>
      <c r="C6" s="32" t="s">
        <v>109</v>
      </c>
      <c r="D6" s="32" t="s">
        <v>105</v>
      </c>
      <c r="E6" s="32" t="s">
        <v>106</v>
      </c>
      <c r="F6" s="32" t="s">
        <v>107</v>
      </c>
      <c r="G6" s="33">
        <v>0</v>
      </c>
      <c r="H6" s="33">
        <v>324</v>
      </c>
      <c r="I6" s="38">
        <f t="shared" si="0"/>
        <v>324</v>
      </c>
      <c r="J6" s="38">
        <v>0</v>
      </c>
      <c r="K6" s="38">
        <v>0</v>
      </c>
      <c r="L6" s="38">
        <f t="shared" si="1"/>
        <v>0</v>
      </c>
      <c r="M6" s="33">
        <v>0</v>
      </c>
      <c r="N6" s="38">
        <v>0</v>
      </c>
      <c r="O6" s="33">
        <v>0</v>
      </c>
      <c r="P6" s="33">
        <v>0</v>
      </c>
      <c r="Q6" s="33">
        <v>0</v>
      </c>
      <c r="R6" s="33">
        <v>0</v>
      </c>
      <c r="S6" s="33">
        <v>0</v>
      </c>
      <c r="T6" s="33">
        <v>259.2</v>
      </c>
    </row>
    <row r="7" s="26" customFormat="1" ht="34" customHeight="1" spans="1:20">
      <c r="A7" s="32" t="s">
        <v>110</v>
      </c>
      <c r="B7" s="32" t="s">
        <v>46</v>
      </c>
      <c r="C7" s="32" t="s">
        <v>47</v>
      </c>
      <c r="D7" s="32" t="s">
        <v>105</v>
      </c>
      <c r="E7" s="32" t="s">
        <v>106</v>
      </c>
      <c r="F7" s="32" t="s">
        <v>107</v>
      </c>
      <c r="G7" s="33">
        <v>0</v>
      </c>
      <c r="H7" s="33">
        <v>780</v>
      </c>
      <c r="I7" s="38">
        <f t="shared" si="0"/>
        <v>780</v>
      </c>
      <c r="J7" s="38">
        <v>0</v>
      </c>
      <c r="K7" s="38">
        <v>0</v>
      </c>
      <c r="L7" s="38">
        <f t="shared" si="1"/>
        <v>0</v>
      </c>
      <c r="M7" s="33">
        <v>0</v>
      </c>
      <c r="N7" s="38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624</v>
      </c>
    </row>
    <row r="8" s="26" customFormat="1" ht="34" customHeight="1" spans="1:20">
      <c r="A8" s="32" t="s">
        <v>111</v>
      </c>
      <c r="B8" s="32" t="s">
        <v>48</v>
      </c>
      <c r="C8" s="32" t="s">
        <v>49</v>
      </c>
      <c r="D8" s="32" t="s">
        <v>105</v>
      </c>
      <c r="E8" s="32" t="s">
        <v>106</v>
      </c>
      <c r="F8" s="32" t="s">
        <v>107</v>
      </c>
      <c r="G8" s="33">
        <v>0</v>
      </c>
      <c r="H8" s="33">
        <v>2364</v>
      </c>
      <c r="I8" s="38">
        <f t="shared" si="0"/>
        <v>2364</v>
      </c>
      <c r="J8" s="38">
        <v>0</v>
      </c>
      <c r="K8" s="38">
        <v>0</v>
      </c>
      <c r="L8" s="38">
        <f t="shared" si="1"/>
        <v>0</v>
      </c>
      <c r="M8" s="33">
        <v>0</v>
      </c>
      <c r="N8" s="38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1891.2</v>
      </c>
    </row>
    <row r="9" s="26" customFormat="1" ht="34" customHeight="1" spans="1:20">
      <c r="A9" s="32" t="s">
        <v>112</v>
      </c>
      <c r="B9" s="32" t="s">
        <v>66</v>
      </c>
      <c r="C9" s="32" t="s">
        <v>67</v>
      </c>
      <c r="D9" s="32" t="s">
        <v>105</v>
      </c>
      <c r="E9" s="32" t="s">
        <v>106</v>
      </c>
      <c r="F9" s="32" t="s">
        <v>107</v>
      </c>
      <c r="G9" s="33">
        <v>0</v>
      </c>
      <c r="H9" s="33">
        <v>1296</v>
      </c>
      <c r="I9" s="38">
        <f t="shared" si="0"/>
        <v>1296</v>
      </c>
      <c r="J9" s="38">
        <v>0</v>
      </c>
      <c r="K9" s="38">
        <v>0</v>
      </c>
      <c r="L9" s="38">
        <f t="shared" si="1"/>
        <v>0</v>
      </c>
      <c r="M9" s="33">
        <v>0</v>
      </c>
      <c r="N9" s="38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1036.8</v>
      </c>
    </row>
    <row r="10" s="26" customFormat="1" ht="23" customHeight="1" spans="1:20">
      <c r="A10" s="32" t="s">
        <v>102</v>
      </c>
      <c r="B10" s="32"/>
      <c r="C10" s="32"/>
      <c r="D10" s="32"/>
      <c r="E10" s="32"/>
      <c r="F10" s="32"/>
      <c r="G10" s="33">
        <f t="shared" ref="G10:T10" si="2">SUM(G5:G9)</f>
        <v>0</v>
      </c>
      <c r="H10" s="33">
        <f t="shared" si="2"/>
        <v>14508</v>
      </c>
      <c r="I10" s="38">
        <f t="shared" si="2"/>
        <v>14508</v>
      </c>
      <c r="J10" s="38">
        <f t="shared" si="2"/>
        <v>0</v>
      </c>
      <c r="K10" s="38">
        <f t="shared" si="2"/>
        <v>0</v>
      </c>
      <c r="L10" s="38">
        <f t="shared" si="2"/>
        <v>0</v>
      </c>
      <c r="M10" s="33">
        <f t="shared" si="2"/>
        <v>0</v>
      </c>
      <c r="N10" s="38">
        <f t="shared" si="2"/>
        <v>0</v>
      </c>
      <c r="O10" s="38">
        <f t="shared" si="2"/>
        <v>0</v>
      </c>
      <c r="P10" s="38">
        <f t="shared" si="2"/>
        <v>0</v>
      </c>
      <c r="Q10" s="38">
        <f t="shared" si="2"/>
        <v>0</v>
      </c>
      <c r="R10" s="38">
        <f t="shared" si="2"/>
        <v>0</v>
      </c>
      <c r="S10" s="38">
        <f t="shared" si="2"/>
        <v>0</v>
      </c>
      <c r="T10" s="38">
        <f t="shared" si="2"/>
        <v>11606.4</v>
      </c>
    </row>
    <row r="11" s="26" customFormat="1"/>
    <row r="12" s="26" customFormat="1"/>
    <row r="13" s="26" customFormat="1"/>
    <row r="14" s="26" customFormat="1"/>
    <row r="15" s="26" customFormat="1"/>
    <row r="16" s="26" customFormat="1"/>
    <row r="17" s="26" customFormat="1"/>
    <row r="18" s="26" customFormat="1"/>
    <row r="19" s="26" customFormat="1"/>
    <row r="20" s="26" customFormat="1"/>
  </sheetData>
  <mergeCells count="20">
    <mergeCell ref="A1:T1"/>
    <mergeCell ref="I2:L2"/>
    <mergeCell ref="N2:P2"/>
    <mergeCell ref="G3:I3"/>
    <mergeCell ref="J3:L3"/>
    <mergeCell ref="A10:F10"/>
    <mergeCell ref="A3:A4"/>
    <mergeCell ref="B3:B4"/>
    <mergeCell ref="C3:C4"/>
    <mergeCell ref="D3:D4"/>
    <mergeCell ref="E3:E4"/>
    <mergeCell ref="F3:F4"/>
    <mergeCell ref="M3:M4"/>
    <mergeCell ref="N3:N4"/>
    <mergeCell ref="O3:O4"/>
    <mergeCell ref="P3:P4"/>
    <mergeCell ref="Q3:Q4"/>
    <mergeCell ref="R3:R4"/>
    <mergeCell ref="S3:S4"/>
    <mergeCell ref="T3:T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J7" sqref="J7"/>
    </sheetView>
  </sheetViews>
  <sheetFormatPr defaultColWidth="8.8" defaultRowHeight="14.25"/>
  <cols>
    <col min="1" max="1" width="4" style="1" customWidth="1"/>
    <col min="2" max="2" width="13.6333333333333" style="1" customWidth="1"/>
    <col min="3" max="3" width="19.5" style="1" customWidth="1"/>
    <col min="4" max="4" width="6" style="1" customWidth="1"/>
    <col min="5" max="5" width="8.38333333333333" style="1" customWidth="1"/>
    <col min="6" max="6" width="5.5" style="1" customWidth="1"/>
    <col min="7" max="19" width="9" style="1" customWidth="1"/>
    <col min="20" max="20" width="8.88333333333333" style="1" customWidth="1"/>
    <col min="21" max="16384" width="8.8" style="1"/>
  </cols>
  <sheetData>
    <row r="1" s="1" customFormat="1" ht="37.05" customHeight="1" spans="1:20">
      <c r="A1" s="5" t="s">
        <v>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21" customHeight="1" spans="1:19">
      <c r="A2" s="6" t="s">
        <v>1</v>
      </c>
      <c r="B2" s="6"/>
      <c r="C2" s="6"/>
      <c r="D2" s="6"/>
      <c r="E2" s="6"/>
      <c r="F2" s="6"/>
      <c r="H2" s="16" t="s">
        <v>91</v>
      </c>
      <c r="I2" s="16"/>
      <c r="J2" s="16"/>
      <c r="K2" s="16"/>
      <c r="L2" s="6"/>
      <c r="M2" s="6"/>
      <c r="N2" s="17"/>
      <c r="O2" s="17"/>
      <c r="P2" s="6"/>
      <c r="Q2" s="6"/>
      <c r="R2" s="17" t="s">
        <v>4</v>
      </c>
      <c r="S2" s="23"/>
    </row>
    <row r="3" s="2" customFormat="1" ht="33" customHeight="1" spans="1:20">
      <c r="A3" s="7" t="s">
        <v>5</v>
      </c>
      <c r="B3" s="7" t="s">
        <v>92</v>
      </c>
      <c r="C3" s="7" t="s">
        <v>93</v>
      </c>
      <c r="D3" s="7" t="s">
        <v>94</v>
      </c>
      <c r="E3" s="7" t="s">
        <v>95</v>
      </c>
      <c r="F3" s="7" t="s">
        <v>9</v>
      </c>
      <c r="G3" s="7" t="s">
        <v>96</v>
      </c>
      <c r="H3" s="7"/>
      <c r="I3" s="7"/>
      <c r="J3" s="7" t="s">
        <v>18</v>
      </c>
      <c r="K3" s="7"/>
      <c r="L3" s="7"/>
      <c r="M3" s="7" t="s">
        <v>97</v>
      </c>
      <c r="N3" s="7" t="s">
        <v>98</v>
      </c>
      <c r="O3" s="7" t="s">
        <v>99</v>
      </c>
      <c r="P3" s="18" t="s">
        <v>100</v>
      </c>
      <c r="Q3" s="7" t="s">
        <v>21</v>
      </c>
      <c r="R3" s="7" t="s">
        <v>101</v>
      </c>
      <c r="S3" s="18" t="s">
        <v>22</v>
      </c>
      <c r="T3" s="7" t="s">
        <v>102</v>
      </c>
    </row>
    <row r="4" s="3" customFormat="1" ht="60" customHeight="1" spans="1:20">
      <c r="A4" s="7"/>
      <c r="B4" s="7"/>
      <c r="C4" s="7"/>
      <c r="D4" s="7"/>
      <c r="E4" s="7"/>
      <c r="F4" s="7"/>
      <c r="G4" s="7" t="s">
        <v>14</v>
      </c>
      <c r="H4" s="7" t="s">
        <v>103</v>
      </c>
      <c r="I4" s="7" t="s">
        <v>70</v>
      </c>
      <c r="J4" s="7" t="s">
        <v>14</v>
      </c>
      <c r="K4" s="7" t="s">
        <v>103</v>
      </c>
      <c r="L4" s="7" t="s">
        <v>70</v>
      </c>
      <c r="M4" s="7"/>
      <c r="N4" s="18"/>
      <c r="O4" s="7"/>
      <c r="P4" s="19"/>
      <c r="Q4" s="7"/>
      <c r="R4" s="7"/>
      <c r="S4" s="19"/>
      <c r="T4" s="7"/>
    </row>
    <row r="5" s="4" customFormat="1" ht="34" customHeight="1" spans="1:20">
      <c r="A5" s="8" t="s">
        <v>104</v>
      </c>
      <c r="B5" s="8" t="s">
        <v>24</v>
      </c>
      <c r="C5" s="8" t="s">
        <v>25</v>
      </c>
      <c r="D5" s="8" t="s">
        <v>113</v>
      </c>
      <c r="E5" s="8" t="s">
        <v>106</v>
      </c>
      <c r="F5" s="8" t="s">
        <v>27</v>
      </c>
      <c r="G5" s="9">
        <v>939.7</v>
      </c>
      <c r="H5" s="9">
        <v>1176.48</v>
      </c>
      <c r="I5" s="20">
        <f t="shared" ref="I5:I14" si="0">SUM(H5+G5)</f>
        <v>2116.18</v>
      </c>
      <c r="J5" s="20">
        <v>0</v>
      </c>
      <c r="K5" s="20">
        <v>0</v>
      </c>
      <c r="L5" s="20">
        <f t="shared" ref="L5:L14" si="1">SUM(K5+J5)</f>
        <v>0</v>
      </c>
      <c r="M5" s="9">
        <v>0</v>
      </c>
      <c r="N5" s="20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2116.18</v>
      </c>
    </row>
    <row r="6" s="4" customFormat="1" ht="34" customHeight="1" spans="1:20">
      <c r="A6" s="8" t="s">
        <v>108</v>
      </c>
      <c r="B6" s="8" t="s">
        <v>30</v>
      </c>
      <c r="C6" s="8" t="s">
        <v>31</v>
      </c>
      <c r="D6" s="8" t="s">
        <v>113</v>
      </c>
      <c r="E6" s="8" t="s">
        <v>106</v>
      </c>
      <c r="F6" s="8" t="s">
        <v>27</v>
      </c>
      <c r="G6" s="9">
        <v>11892.06</v>
      </c>
      <c r="H6" s="9">
        <v>7964.78</v>
      </c>
      <c r="I6" s="20">
        <f t="shared" si="0"/>
        <v>19856.84</v>
      </c>
      <c r="J6" s="20">
        <v>0</v>
      </c>
      <c r="K6" s="20">
        <v>272.44</v>
      </c>
      <c r="L6" s="20">
        <f t="shared" si="1"/>
        <v>272.44</v>
      </c>
      <c r="M6" s="9">
        <v>0</v>
      </c>
      <c r="N6" s="20">
        <v>0</v>
      </c>
      <c r="O6" s="9">
        <v>120.52</v>
      </c>
      <c r="P6" s="9">
        <v>0</v>
      </c>
      <c r="Q6" s="9">
        <v>0</v>
      </c>
      <c r="R6" s="9">
        <v>0</v>
      </c>
      <c r="S6" s="9">
        <v>0</v>
      </c>
      <c r="T6" s="9">
        <v>20249.8</v>
      </c>
    </row>
    <row r="7" s="1" customFormat="1" ht="34" customHeight="1" spans="1:20">
      <c r="A7" s="8" t="s">
        <v>110</v>
      </c>
      <c r="B7" s="8" t="s">
        <v>34</v>
      </c>
      <c r="C7" s="8" t="s">
        <v>35</v>
      </c>
      <c r="D7" s="8" t="s">
        <v>113</v>
      </c>
      <c r="E7" s="8" t="s">
        <v>106</v>
      </c>
      <c r="F7" s="8" t="s">
        <v>27</v>
      </c>
      <c r="G7" s="9">
        <v>1931.1</v>
      </c>
      <c r="H7" s="9">
        <v>714.9</v>
      </c>
      <c r="I7" s="20">
        <f t="shared" si="0"/>
        <v>2646</v>
      </c>
      <c r="J7" s="20">
        <v>0</v>
      </c>
      <c r="K7" s="20">
        <v>0</v>
      </c>
      <c r="L7" s="20">
        <f t="shared" si="1"/>
        <v>0</v>
      </c>
      <c r="M7" s="9">
        <v>0</v>
      </c>
      <c r="N7" s="20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2646</v>
      </c>
    </row>
    <row r="8" s="1" customFormat="1" ht="34" customHeight="1" spans="1:20">
      <c r="A8" s="8" t="s">
        <v>111</v>
      </c>
      <c r="B8" s="8" t="s">
        <v>46</v>
      </c>
      <c r="C8" s="8" t="s">
        <v>47</v>
      </c>
      <c r="D8" s="8" t="s">
        <v>113</v>
      </c>
      <c r="E8" s="8" t="s">
        <v>106</v>
      </c>
      <c r="F8" s="8" t="s">
        <v>27</v>
      </c>
      <c r="G8" s="9">
        <v>1518.23</v>
      </c>
      <c r="H8" s="9">
        <v>940.79</v>
      </c>
      <c r="I8" s="20">
        <f t="shared" si="0"/>
        <v>2459.02</v>
      </c>
      <c r="J8" s="20">
        <v>0</v>
      </c>
      <c r="K8" s="20">
        <v>21.99</v>
      </c>
      <c r="L8" s="20">
        <f t="shared" si="1"/>
        <v>21.99</v>
      </c>
      <c r="M8" s="9">
        <v>0</v>
      </c>
      <c r="N8" s="20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2481.01</v>
      </c>
    </row>
    <row r="9" s="1" customFormat="1" ht="34" customHeight="1" spans="1:20">
      <c r="A9" s="8" t="s">
        <v>112</v>
      </c>
      <c r="B9" s="8" t="s">
        <v>48</v>
      </c>
      <c r="C9" s="8" t="s">
        <v>49</v>
      </c>
      <c r="D9" s="8" t="s">
        <v>113</v>
      </c>
      <c r="E9" s="8" t="s">
        <v>106</v>
      </c>
      <c r="F9" s="8" t="s">
        <v>27</v>
      </c>
      <c r="G9" s="9">
        <v>14607.54</v>
      </c>
      <c r="H9" s="9">
        <v>9330.95</v>
      </c>
      <c r="I9" s="20">
        <f t="shared" si="0"/>
        <v>23938.49</v>
      </c>
      <c r="J9" s="20">
        <v>0</v>
      </c>
      <c r="K9" s="20">
        <v>205.34</v>
      </c>
      <c r="L9" s="20">
        <f t="shared" si="1"/>
        <v>205.34</v>
      </c>
      <c r="M9" s="9">
        <v>0</v>
      </c>
      <c r="N9" s="20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24143.83</v>
      </c>
    </row>
    <row r="10" s="1" customFormat="1" ht="34" customHeight="1" spans="1:20">
      <c r="A10" s="8" t="s">
        <v>114</v>
      </c>
      <c r="B10" s="8" t="s">
        <v>60</v>
      </c>
      <c r="C10" s="8" t="s">
        <v>61</v>
      </c>
      <c r="D10" s="8" t="s">
        <v>113</v>
      </c>
      <c r="E10" s="8" t="s">
        <v>106</v>
      </c>
      <c r="F10" s="8" t="s">
        <v>27</v>
      </c>
      <c r="G10" s="9">
        <v>219.58</v>
      </c>
      <c r="H10" s="9">
        <v>234.88</v>
      </c>
      <c r="I10" s="20">
        <f t="shared" si="0"/>
        <v>454.46</v>
      </c>
      <c r="J10" s="20">
        <v>0</v>
      </c>
      <c r="K10" s="20">
        <v>0</v>
      </c>
      <c r="L10" s="20">
        <f t="shared" si="1"/>
        <v>0</v>
      </c>
      <c r="M10" s="9">
        <v>0</v>
      </c>
      <c r="N10" s="20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454.46</v>
      </c>
    </row>
    <row r="11" s="1" customFormat="1" ht="34" customHeight="1" spans="1:20">
      <c r="A11" s="8" t="s">
        <v>115</v>
      </c>
      <c r="B11" s="8" t="s">
        <v>116</v>
      </c>
      <c r="C11" s="8" t="s">
        <v>117</v>
      </c>
      <c r="D11" s="8" t="s">
        <v>113</v>
      </c>
      <c r="E11" s="8" t="s">
        <v>106</v>
      </c>
      <c r="F11" s="8" t="s">
        <v>27</v>
      </c>
      <c r="G11" s="9">
        <v>7133.86</v>
      </c>
      <c r="H11" s="9">
        <v>10194.34</v>
      </c>
      <c r="I11" s="20">
        <f t="shared" si="0"/>
        <v>17328.2</v>
      </c>
      <c r="J11" s="20">
        <v>0</v>
      </c>
      <c r="K11" s="20">
        <v>3343.25</v>
      </c>
      <c r="L11" s="20">
        <f t="shared" si="1"/>
        <v>3343.25</v>
      </c>
      <c r="M11" s="9">
        <v>0</v>
      </c>
      <c r="N11" s="20">
        <v>0</v>
      </c>
      <c r="O11" s="9">
        <v>4782.64</v>
      </c>
      <c r="P11" s="9">
        <v>0</v>
      </c>
      <c r="Q11" s="9">
        <v>0</v>
      </c>
      <c r="R11" s="9">
        <v>0</v>
      </c>
      <c r="S11" s="9">
        <v>0</v>
      </c>
      <c r="T11" s="9">
        <v>25454.09</v>
      </c>
    </row>
    <row r="12" s="1" customFormat="1" ht="34" customHeight="1" spans="1:20">
      <c r="A12" s="8" t="s">
        <v>118</v>
      </c>
      <c r="B12" s="8" t="s">
        <v>64</v>
      </c>
      <c r="C12" s="8" t="s">
        <v>65</v>
      </c>
      <c r="D12" s="8" t="s">
        <v>113</v>
      </c>
      <c r="E12" s="8" t="s">
        <v>106</v>
      </c>
      <c r="F12" s="8" t="s">
        <v>27</v>
      </c>
      <c r="G12" s="9">
        <v>4049.08</v>
      </c>
      <c r="H12" s="9">
        <v>2634.16</v>
      </c>
      <c r="I12" s="20">
        <f t="shared" si="0"/>
        <v>6683.24</v>
      </c>
      <c r="J12" s="20">
        <v>0</v>
      </c>
      <c r="K12" s="20">
        <v>64.4</v>
      </c>
      <c r="L12" s="20">
        <f t="shared" si="1"/>
        <v>64.4</v>
      </c>
      <c r="M12" s="9">
        <v>0</v>
      </c>
      <c r="N12" s="20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6747.64</v>
      </c>
    </row>
    <row r="13" s="1" customFormat="1" ht="34" customHeight="1" spans="1:20">
      <c r="A13" s="8" t="s">
        <v>119</v>
      </c>
      <c r="B13" s="8" t="s">
        <v>66</v>
      </c>
      <c r="C13" s="8" t="s">
        <v>67</v>
      </c>
      <c r="D13" s="8" t="s">
        <v>113</v>
      </c>
      <c r="E13" s="8" t="s">
        <v>106</v>
      </c>
      <c r="F13" s="8" t="s">
        <v>27</v>
      </c>
      <c r="G13" s="9">
        <v>24129.33</v>
      </c>
      <c r="H13" s="9">
        <v>20307.13</v>
      </c>
      <c r="I13" s="20">
        <f t="shared" si="0"/>
        <v>44436.46</v>
      </c>
      <c r="J13" s="20">
        <v>0</v>
      </c>
      <c r="K13" s="20">
        <v>246.33</v>
      </c>
      <c r="L13" s="20">
        <f t="shared" si="1"/>
        <v>246.33</v>
      </c>
      <c r="M13" s="9">
        <v>0</v>
      </c>
      <c r="N13" s="20">
        <v>0</v>
      </c>
      <c r="O13" s="9">
        <v>50.71</v>
      </c>
      <c r="P13" s="9">
        <v>0</v>
      </c>
      <c r="Q13" s="9">
        <v>0</v>
      </c>
      <c r="R13" s="9">
        <v>0</v>
      </c>
      <c r="S13" s="9">
        <v>0</v>
      </c>
      <c r="T13" s="9">
        <v>44733.5</v>
      </c>
    </row>
    <row r="14" s="1" customFormat="1" ht="34" customHeight="1" spans="1:20">
      <c r="A14" s="8" t="s">
        <v>120</v>
      </c>
      <c r="B14" s="8" t="s">
        <v>68</v>
      </c>
      <c r="C14" s="8" t="s">
        <v>69</v>
      </c>
      <c r="D14" s="8" t="s">
        <v>113</v>
      </c>
      <c r="E14" s="8" t="s">
        <v>106</v>
      </c>
      <c r="F14" s="8" t="s">
        <v>27</v>
      </c>
      <c r="G14" s="9">
        <v>1620.48</v>
      </c>
      <c r="H14" s="9">
        <v>637.52</v>
      </c>
      <c r="I14" s="20">
        <f t="shared" si="0"/>
        <v>2258</v>
      </c>
      <c r="J14" s="20">
        <v>0</v>
      </c>
      <c r="K14" s="20">
        <v>0</v>
      </c>
      <c r="L14" s="20">
        <f t="shared" si="1"/>
        <v>0</v>
      </c>
      <c r="M14" s="9">
        <v>0</v>
      </c>
      <c r="N14" s="20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2258</v>
      </c>
    </row>
    <row r="15" s="1" customFormat="1" ht="23" customHeight="1" spans="1:20">
      <c r="A15" s="8" t="s">
        <v>102</v>
      </c>
      <c r="B15" s="8"/>
      <c r="C15" s="8"/>
      <c r="D15" s="8"/>
      <c r="E15" s="8"/>
      <c r="F15" s="8"/>
      <c r="G15" s="9">
        <f t="shared" ref="G15:T15" si="2">SUM(G5:G14)</f>
        <v>68040.96</v>
      </c>
      <c r="H15" s="9">
        <f t="shared" si="2"/>
        <v>54135.93</v>
      </c>
      <c r="I15" s="20">
        <f t="shared" si="2"/>
        <v>122176.89</v>
      </c>
      <c r="J15" s="20">
        <f t="shared" si="2"/>
        <v>0</v>
      </c>
      <c r="K15" s="20">
        <f t="shared" si="2"/>
        <v>4153.75</v>
      </c>
      <c r="L15" s="20">
        <f t="shared" si="2"/>
        <v>4153.75</v>
      </c>
      <c r="M15" s="9">
        <f t="shared" si="2"/>
        <v>0</v>
      </c>
      <c r="N15" s="20">
        <f t="shared" si="2"/>
        <v>0</v>
      </c>
      <c r="O15" s="20">
        <f t="shared" si="2"/>
        <v>4953.87</v>
      </c>
      <c r="P15" s="20">
        <f t="shared" si="2"/>
        <v>0</v>
      </c>
      <c r="Q15" s="20">
        <f t="shared" si="2"/>
        <v>0</v>
      </c>
      <c r="R15" s="20">
        <f t="shared" si="2"/>
        <v>0</v>
      </c>
      <c r="S15" s="20">
        <f t="shared" si="2"/>
        <v>0</v>
      </c>
      <c r="T15" s="20">
        <f t="shared" si="2"/>
        <v>131284.51</v>
      </c>
    </row>
  </sheetData>
  <mergeCells count="20">
    <mergeCell ref="A1:T1"/>
    <mergeCell ref="H2:K2"/>
    <mergeCell ref="N2:O2"/>
    <mergeCell ref="G3:I3"/>
    <mergeCell ref="J3:L3"/>
    <mergeCell ref="A15:F15"/>
    <mergeCell ref="A3:A4"/>
    <mergeCell ref="B3:B4"/>
    <mergeCell ref="C3:C4"/>
    <mergeCell ref="D3:D4"/>
    <mergeCell ref="E3:E4"/>
    <mergeCell ref="F3:F4"/>
    <mergeCell ref="M3:M4"/>
    <mergeCell ref="N3:N4"/>
    <mergeCell ref="O3:O4"/>
    <mergeCell ref="P3:P4"/>
    <mergeCell ref="Q3:Q4"/>
    <mergeCell ref="R3:R4"/>
    <mergeCell ref="S3:S4"/>
    <mergeCell ref="T3:T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H17" sqref="H17"/>
    </sheetView>
  </sheetViews>
  <sheetFormatPr defaultColWidth="8.8" defaultRowHeight="14.25"/>
  <cols>
    <col min="1" max="1" width="4" style="1" customWidth="1"/>
    <col min="2" max="2" width="13.6333333333333" style="1" customWidth="1"/>
    <col min="3" max="3" width="19.5" style="1" customWidth="1"/>
    <col min="4" max="4" width="6" style="1" customWidth="1"/>
    <col min="5" max="5" width="8.38333333333333" style="1" customWidth="1"/>
    <col min="6" max="6" width="5.5" style="1" customWidth="1"/>
    <col min="7" max="19" width="9" style="1" customWidth="1"/>
    <col min="20" max="20" width="8.88333333333333" style="1" customWidth="1"/>
    <col min="21" max="16384" width="8.8" style="1"/>
  </cols>
  <sheetData>
    <row r="1" s="1" customFormat="1" ht="37.05" customHeight="1" spans="1:20">
      <c r="A1" s="5" t="s">
        <v>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21" customHeight="1" spans="1:19">
      <c r="A2" s="6" t="s">
        <v>1</v>
      </c>
      <c r="B2" s="6"/>
      <c r="C2" s="6"/>
      <c r="D2" s="6"/>
      <c r="E2" s="6"/>
      <c r="F2" s="6"/>
      <c r="H2" s="6"/>
      <c r="I2" s="16" t="s">
        <v>91</v>
      </c>
      <c r="J2" s="16"/>
      <c r="K2" s="16"/>
      <c r="L2" s="6"/>
      <c r="M2" s="6"/>
      <c r="N2" s="17"/>
      <c r="O2" s="17"/>
      <c r="P2" s="6"/>
      <c r="Q2" s="6"/>
      <c r="R2" s="17" t="s">
        <v>4</v>
      </c>
      <c r="S2" s="23"/>
    </row>
    <row r="3" s="2" customFormat="1" ht="33" customHeight="1" spans="1:20">
      <c r="A3" s="7" t="s">
        <v>5</v>
      </c>
      <c r="B3" s="7" t="s">
        <v>92</v>
      </c>
      <c r="C3" s="7" t="s">
        <v>93</v>
      </c>
      <c r="D3" s="7" t="s">
        <v>94</v>
      </c>
      <c r="E3" s="7" t="s">
        <v>95</v>
      </c>
      <c r="F3" s="7" t="s">
        <v>9</v>
      </c>
      <c r="G3" s="7" t="s">
        <v>96</v>
      </c>
      <c r="H3" s="7"/>
      <c r="I3" s="7"/>
      <c r="J3" s="7" t="s">
        <v>18</v>
      </c>
      <c r="K3" s="7"/>
      <c r="L3" s="7"/>
      <c r="M3" s="7" t="s">
        <v>97</v>
      </c>
      <c r="N3" s="7" t="s">
        <v>98</v>
      </c>
      <c r="O3" s="7" t="s">
        <v>99</v>
      </c>
      <c r="P3" s="18" t="s">
        <v>100</v>
      </c>
      <c r="Q3" s="7" t="s">
        <v>21</v>
      </c>
      <c r="R3" s="7" t="s">
        <v>101</v>
      </c>
      <c r="S3" s="18" t="s">
        <v>22</v>
      </c>
      <c r="T3" s="7" t="s">
        <v>102</v>
      </c>
    </row>
    <row r="4" s="3" customFormat="1" ht="60" customHeight="1" spans="1:20">
      <c r="A4" s="7"/>
      <c r="B4" s="7"/>
      <c r="C4" s="7"/>
      <c r="D4" s="7"/>
      <c r="E4" s="7"/>
      <c r="F4" s="7"/>
      <c r="G4" s="7" t="s">
        <v>14</v>
      </c>
      <c r="H4" s="7" t="s">
        <v>103</v>
      </c>
      <c r="I4" s="7" t="s">
        <v>70</v>
      </c>
      <c r="J4" s="7" t="s">
        <v>14</v>
      </c>
      <c r="K4" s="7" t="s">
        <v>103</v>
      </c>
      <c r="L4" s="7" t="s">
        <v>70</v>
      </c>
      <c r="M4" s="7"/>
      <c r="N4" s="18"/>
      <c r="O4" s="7"/>
      <c r="P4" s="19"/>
      <c r="Q4" s="7"/>
      <c r="R4" s="7"/>
      <c r="S4" s="19"/>
      <c r="T4" s="7"/>
    </row>
    <row r="5" s="4" customFormat="1" ht="34" customHeight="1" spans="1:20">
      <c r="A5" s="8" t="s">
        <v>104</v>
      </c>
      <c r="B5" s="8" t="s">
        <v>30</v>
      </c>
      <c r="C5" s="8" t="s">
        <v>31</v>
      </c>
      <c r="D5" s="8" t="s">
        <v>113</v>
      </c>
      <c r="E5" s="8" t="s">
        <v>106</v>
      </c>
      <c r="F5" s="8" t="s">
        <v>32</v>
      </c>
      <c r="G5" s="9">
        <v>594.67</v>
      </c>
      <c r="H5" s="9">
        <v>1741.41</v>
      </c>
      <c r="I5" s="20">
        <f>SUM(H5+G5)</f>
        <v>2336.08</v>
      </c>
      <c r="J5" s="20">
        <v>0</v>
      </c>
      <c r="K5" s="20">
        <v>0</v>
      </c>
      <c r="L5" s="20">
        <f>SUM(K5+J5)</f>
        <v>0</v>
      </c>
      <c r="M5" s="9">
        <v>0</v>
      </c>
      <c r="N5" s="20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2336.08</v>
      </c>
    </row>
    <row r="6" s="4" customFormat="1" ht="34" customHeight="1" spans="1:20">
      <c r="A6" s="8" t="s">
        <v>108</v>
      </c>
      <c r="B6" s="8" t="s">
        <v>66</v>
      </c>
      <c r="C6" s="8" t="s">
        <v>67</v>
      </c>
      <c r="D6" s="8" t="s">
        <v>113</v>
      </c>
      <c r="E6" s="8" t="s">
        <v>106</v>
      </c>
      <c r="F6" s="8" t="s">
        <v>32</v>
      </c>
      <c r="G6" s="9">
        <v>5896.66</v>
      </c>
      <c r="H6" s="9">
        <v>19917.69</v>
      </c>
      <c r="I6" s="20">
        <f>SUM(H6+G6)</f>
        <v>25814.35</v>
      </c>
      <c r="J6" s="20">
        <v>0</v>
      </c>
      <c r="K6" s="20">
        <v>726.47</v>
      </c>
      <c r="L6" s="20">
        <f>SUM(K6+J6)</f>
        <v>726.47</v>
      </c>
      <c r="M6" s="9">
        <v>0</v>
      </c>
      <c r="N6" s="20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26540.82</v>
      </c>
    </row>
    <row r="7" s="1" customFormat="1" ht="23" customHeight="1" spans="1:20">
      <c r="A7" s="8" t="s">
        <v>102</v>
      </c>
      <c r="B7" s="8"/>
      <c r="C7" s="8"/>
      <c r="D7" s="8"/>
      <c r="E7" s="8"/>
      <c r="F7" s="8"/>
      <c r="G7" s="9">
        <f t="shared" ref="G7:T7" si="0">SUM(G5:G6)</f>
        <v>6491.33</v>
      </c>
      <c r="H7" s="9">
        <f t="shared" si="0"/>
        <v>21659.1</v>
      </c>
      <c r="I7" s="20">
        <f t="shared" si="0"/>
        <v>28150.43</v>
      </c>
      <c r="J7" s="20">
        <f t="shared" si="0"/>
        <v>0</v>
      </c>
      <c r="K7" s="20">
        <f t="shared" si="0"/>
        <v>726.47</v>
      </c>
      <c r="L7" s="20">
        <f t="shared" si="0"/>
        <v>726.47</v>
      </c>
      <c r="M7" s="9">
        <f t="shared" si="0"/>
        <v>0</v>
      </c>
      <c r="N7" s="20">
        <f t="shared" si="0"/>
        <v>0</v>
      </c>
      <c r="O7" s="20">
        <f t="shared" si="0"/>
        <v>0</v>
      </c>
      <c r="P7" s="20">
        <f t="shared" si="0"/>
        <v>0</v>
      </c>
      <c r="Q7" s="20">
        <f t="shared" si="0"/>
        <v>0</v>
      </c>
      <c r="R7" s="20">
        <f t="shared" si="0"/>
        <v>0</v>
      </c>
      <c r="S7" s="20">
        <f t="shared" si="0"/>
        <v>0</v>
      </c>
      <c r="T7" s="20">
        <f t="shared" si="0"/>
        <v>28876.9</v>
      </c>
    </row>
    <row r="8" s="1" customFormat="1" ht="15.6" customHeight="1" spans="1:20">
      <c r="A8" s="10"/>
      <c r="B8" s="10"/>
      <c r="C8" s="10"/>
      <c r="D8" s="10"/>
      <c r="E8" s="10"/>
      <c r="F8" s="10"/>
      <c r="G8" s="1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="1" customFormat="1" ht="15.6" customHeight="1" spans="1:11">
      <c r="A9" s="13"/>
      <c r="B9" s="13"/>
      <c r="C9" s="13"/>
      <c r="D9" s="11"/>
      <c r="E9" s="11"/>
      <c r="F9" s="11"/>
      <c r="G9" s="11"/>
      <c r="H9" s="11"/>
      <c r="I9" s="11"/>
      <c r="J9" s="11"/>
      <c r="K9" s="21"/>
    </row>
    <row r="10" s="1" customFormat="1" ht="15.6" customHeight="1" spans="1:20">
      <c r="A10" s="13"/>
      <c r="B10" s="14"/>
      <c r="C10" s="15"/>
      <c r="D10" s="11"/>
      <c r="E10" s="11"/>
      <c r="F10" s="11"/>
      <c r="G10" s="11"/>
      <c r="H10" s="11"/>
      <c r="I10" s="11"/>
      <c r="J10" s="14"/>
      <c r="K10" s="22"/>
      <c r="L10" s="22"/>
      <c r="S10" s="14"/>
      <c r="T10" s="24"/>
    </row>
    <row r="11" s="1" customFormat="1" ht="15.6" customHeight="1"/>
    <row r="12" s="1" customFormat="1" ht="15.6" customHeight="1" spans="19:20">
      <c r="S12" s="14"/>
      <c r="T12" s="25"/>
    </row>
  </sheetData>
  <mergeCells count="20">
    <mergeCell ref="A1:T1"/>
    <mergeCell ref="I2:K2"/>
    <mergeCell ref="N2:O2"/>
    <mergeCell ref="G3:I3"/>
    <mergeCell ref="J3:L3"/>
    <mergeCell ref="A7:F7"/>
    <mergeCell ref="A3:A4"/>
    <mergeCell ref="B3:B4"/>
    <mergeCell ref="C3:C4"/>
    <mergeCell ref="D3:D4"/>
    <mergeCell ref="E3:E4"/>
    <mergeCell ref="F3:F4"/>
    <mergeCell ref="M3:M4"/>
    <mergeCell ref="N3:N4"/>
    <mergeCell ref="O3:O4"/>
    <mergeCell ref="P3:P4"/>
    <mergeCell ref="Q3:Q4"/>
    <mergeCell ref="R3:R4"/>
    <mergeCell ref="S3:S4"/>
    <mergeCell ref="T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职工2024年12月结算</vt:lpstr>
      <vt:lpstr>经开医院职工透析</vt:lpstr>
      <vt:lpstr>2024职工家庭医生签约</vt:lpstr>
      <vt:lpstr>202411职工异地门诊</vt:lpstr>
      <vt:lpstr>202411职工异地住院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2025-02-05T06:24:10Z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